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f-kiordanova\Documents\SPEEDY 2013\"/>
    </mc:Choice>
  </mc:AlternateContent>
  <bookViews>
    <workbookView xWindow="0" yWindow="2745" windowWidth="10800" windowHeight="3450" tabRatio="898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K14" i="5" l="1"/>
  <c r="D13" i="5"/>
  <c r="L22" i="5"/>
  <c r="D10" i="2" l="1"/>
  <c r="C92" i="6" l="1"/>
  <c r="M13" i="5" l="1"/>
  <c r="L14" i="5" l="1"/>
  <c r="L13" i="5"/>
  <c r="K16" i="5"/>
  <c r="K22" i="5"/>
  <c r="K13" i="5"/>
  <c r="K11" i="5"/>
  <c r="D14" i="5"/>
  <c r="D16" i="5"/>
  <c r="D22" i="5"/>
  <c r="F13" i="5"/>
  <c r="E13" i="5"/>
  <c r="D11" i="5"/>
  <c r="D10" i="3"/>
  <c r="D39" i="3"/>
  <c r="D38" i="3"/>
  <c r="D37" i="3"/>
  <c r="D36" i="3"/>
  <c r="D23" i="3"/>
  <c r="D22" i="3"/>
  <c r="D14" i="3"/>
  <c r="D13" i="3"/>
  <c r="D11" i="3"/>
  <c r="C10" i="3"/>
  <c r="C23" i="3"/>
  <c r="C22" i="3"/>
  <c r="C39" i="3"/>
  <c r="C38" i="3"/>
  <c r="C37" i="3"/>
  <c r="C36" i="3"/>
  <c r="C15" i="3"/>
  <c r="C14" i="3"/>
  <c r="C13" i="3"/>
  <c r="C11" i="3"/>
  <c r="D41" i="3"/>
  <c r="C41" i="3"/>
  <c r="D13" i="2"/>
  <c r="D12" i="2"/>
  <c r="D25" i="2"/>
  <c r="H11" i="2" l="1"/>
  <c r="C10" i="2" l="1"/>
  <c r="G11" i="2"/>
  <c r="H12" i="2" l="1"/>
  <c r="D22" i="2"/>
  <c r="D16" i="2"/>
  <c r="D14" i="2"/>
  <c r="D11" i="2"/>
  <c r="D9" i="2"/>
  <c r="G12" i="2"/>
  <c r="C25" i="2"/>
  <c r="C24" i="2"/>
  <c r="C22" i="2"/>
  <c r="C16" i="2"/>
  <c r="C14" i="2"/>
  <c r="C13" i="2"/>
  <c r="C12" i="2"/>
  <c r="C11" i="2"/>
  <c r="C9" i="2"/>
  <c r="G68" i="1" l="1"/>
  <c r="G67" i="1"/>
  <c r="G66" i="1"/>
  <c r="C58" i="1" l="1"/>
  <c r="C92" i="1" l="1"/>
  <c r="C15" i="1"/>
  <c r="C18" i="1"/>
  <c r="C16" i="1"/>
  <c r="D68" i="1" l="1"/>
  <c r="D67" i="1"/>
  <c r="C54" i="1" l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E24" i="4"/>
  <c r="F11" i="4"/>
  <c r="F12" i="4"/>
  <c r="F21" i="4"/>
  <c r="F24" i="4"/>
  <c r="G11" i="4"/>
  <c r="G15" i="4" s="1"/>
  <c r="G12" i="4"/>
  <c r="G17" i="4"/>
  <c r="G21" i="4"/>
  <c r="L21" i="4" s="1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2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R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G19" i="5"/>
  <c r="J19" i="5" s="1"/>
  <c r="H17" i="5"/>
  <c r="H25" i="5"/>
  <c r="H27" i="5"/>
  <c r="H32" i="5"/>
  <c r="I17" i="5"/>
  <c r="I25" i="5"/>
  <c r="I27" i="5"/>
  <c r="I32" i="5"/>
  <c r="J18" i="5"/>
  <c r="K17" i="5"/>
  <c r="K25" i="5"/>
  <c r="K27" i="5"/>
  <c r="K32" i="5"/>
  <c r="L17" i="5"/>
  <c r="L25" i="5"/>
  <c r="L27" i="5"/>
  <c r="L32" i="5"/>
  <c r="M17" i="5"/>
  <c r="M25" i="5"/>
  <c r="M27" i="5"/>
  <c r="M32" i="5"/>
  <c r="N18" i="5"/>
  <c r="Q18" i="5" s="1"/>
  <c r="N19" i="5"/>
  <c r="Q19" i="5" s="1"/>
  <c r="O17" i="5"/>
  <c r="O25" i="5"/>
  <c r="O27" i="5"/>
  <c r="O38" i="5" s="1"/>
  <c r="O32" i="5"/>
  <c r="P17" i="5"/>
  <c r="P25" i="5"/>
  <c r="P27" i="5"/>
  <c r="P32" i="5"/>
  <c r="N28" i="5"/>
  <c r="Q28" i="5" s="1"/>
  <c r="G28" i="5"/>
  <c r="J28" i="5" s="1"/>
  <c r="N29" i="5"/>
  <c r="Q29" i="5" s="1"/>
  <c r="G29" i="5"/>
  <c r="J29" i="5" s="1"/>
  <c r="N30" i="5"/>
  <c r="Q30" i="5" s="1"/>
  <c r="G30" i="5"/>
  <c r="J30" i="5" s="1"/>
  <c r="N31" i="5"/>
  <c r="Q31" i="5" s="1"/>
  <c r="G31" i="5"/>
  <c r="J31" i="5"/>
  <c r="N33" i="5"/>
  <c r="Q33" i="5" s="1"/>
  <c r="G33" i="5"/>
  <c r="J33" i="5" s="1"/>
  <c r="N34" i="5"/>
  <c r="Q34" i="5" s="1"/>
  <c r="G34" i="5"/>
  <c r="J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R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 s="1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F105" i="6" l="1"/>
  <c r="F66" i="6"/>
  <c r="M38" i="5"/>
  <c r="G29" i="4"/>
  <c r="G32" i="4" s="1"/>
  <c r="R35" i="5"/>
  <c r="F38" i="5"/>
  <c r="E38" i="5"/>
  <c r="E40" i="5" s="1"/>
  <c r="D15" i="4"/>
  <c r="D29" i="4" s="1"/>
  <c r="D32" i="4" s="1"/>
  <c r="R10" i="5"/>
  <c r="F61" i="8"/>
  <c r="I26" i="7"/>
  <c r="R18" i="5"/>
  <c r="I38" i="5"/>
  <c r="I40" i="5" s="1"/>
  <c r="L24" i="4"/>
  <c r="K29" i="4"/>
  <c r="K32" i="4" s="1"/>
  <c r="L17" i="4"/>
  <c r="R34" i="5"/>
  <c r="R30" i="5"/>
  <c r="N32" i="5"/>
  <c r="Q32" i="5" s="1"/>
  <c r="G32" i="5"/>
  <c r="J32" i="5" s="1"/>
  <c r="F15" i="4"/>
  <c r="C43" i="6"/>
  <c r="R23" i="5"/>
  <c r="G25" i="5"/>
  <c r="J25" i="5" s="1"/>
  <c r="R28" i="5"/>
  <c r="R12" i="5"/>
  <c r="R14" i="5"/>
  <c r="R11" i="5"/>
  <c r="R24" i="5"/>
  <c r="R22" i="5"/>
  <c r="E90" i="6"/>
  <c r="E85" i="6" s="1"/>
  <c r="G28" i="2"/>
  <c r="G33" i="2" s="1"/>
  <c r="D45" i="1"/>
  <c r="D55" i="1" s="1"/>
  <c r="F78" i="8"/>
  <c r="F114" i="8"/>
  <c r="R36" i="5"/>
  <c r="R33" i="5"/>
  <c r="H29" i="4"/>
  <c r="H32" i="4" s="1"/>
  <c r="C79" i="8"/>
  <c r="D43" i="6"/>
  <c r="E38" i="6"/>
  <c r="E24" i="6"/>
  <c r="R9" i="5"/>
  <c r="P38" i="5"/>
  <c r="P40" i="5" s="1"/>
  <c r="L38" i="5"/>
  <c r="I15" i="4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D38" i="5"/>
  <c r="G27" i="5"/>
  <c r="J27" i="5" s="1"/>
  <c r="C93" i="1"/>
  <c r="C15" i="4"/>
  <c r="L11" i="4"/>
  <c r="F131" i="8"/>
  <c r="F148" i="8"/>
  <c r="F27" i="8"/>
  <c r="R31" i="5"/>
  <c r="K38" i="5"/>
  <c r="G17" i="5"/>
  <c r="F40" i="5"/>
  <c r="R15" i="5"/>
  <c r="F29" i="4"/>
  <c r="F32" i="4" s="1"/>
  <c r="R32" i="5" l="1"/>
  <c r="C44" i="6"/>
  <c r="G38" i="5"/>
  <c r="R25" i="5"/>
  <c r="L15" i="4"/>
  <c r="N38" i="5"/>
  <c r="Q38" i="5" s="1"/>
  <c r="F149" i="8"/>
  <c r="E43" i="6"/>
  <c r="E44" i="6" s="1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C94" i="1"/>
  <c r="G30" i="2"/>
  <c r="C30" i="2"/>
  <c r="C39" i="2"/>
  <c r="C34" i="2"/>
  <c r="R27" i="5"/>
  <c r="G40" i="5"/>
  <c r="J17" i="5"/>
  <c r="G34" i="2"/>
  <c r="Q40" i="5"/>
  <c r="K40" i="5"/>
  <c r="D39" i="2"/>
  <c r="D34" i="2"/>
  <c r="N40" i="5"/>
  <c r="C42" i="2" l="1"/>
  <c r="G31" i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<sst xmlns="http://schemas.openxmlformats.org/spreadsheetml/2006/main" count="1061" uniqueCount="874">
  <si>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</si>
  <si>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</si>
  <si>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</si>
  <si>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</si>
  <si>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</si>
  <si>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</si>
  <si>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</si>
  <si>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</si>
  <si>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</si>
  <si>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</si>
  <si>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</si>
  <si>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</si>
  <si>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</si>
  <si>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</si>
  <si>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</si>
  <si>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</si>
  <si>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</si>
  <si>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</si>
  <si>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</si>
  <si>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</si>
  <si>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</si>
  <si>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</si>
  <si>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</si>
  <si>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</si>
  <si>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</si>
  <si>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</si>
  <si>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</si>
  <si>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</si>
  <si>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</si>
  <si>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</si>
  <si>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</si>
  <si>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</si>
  <si>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</si>
  <si>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</si>
  <si>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</si>
  <si>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</si>
  <si>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</si>
  <si>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</si>
  <si>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</si>
  <si>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</si>
  <si>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</si>
  <si>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</si>
  <si>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</si>
  <si>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</si>
  <si>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</si>
  <si>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</si>
  <si>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</si>
  <si>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</si>
  <si>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</si>
  <si>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</si>
  <si>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</si>
  <si>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</si>
  <si>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</si>
  <si>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</si>
  <si>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</si>
  <si>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</si>
  <si>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</si>
  <si>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</si>
  <si>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</si>
  <si>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</si>
  <si>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</si>
  <si>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</si>
  <si>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</si>
  <si>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</si>
  <si>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</si>
  <si>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</si>
  <si>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</si>
  <si>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</si>
  <si>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</si>
  <si>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</si>
  <si>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</si>
  <si>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</si>
  <si>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</si>
  <si>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</si>
  <si>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</si>
  <si>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</si>
  <si>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</si>
  <si>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</si>
  <si>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</si>
  <si>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</si>
  <si>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</si>
  <si>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</si>
  <si>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</si>
  <si>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</si>
  <si>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</si>
  <si>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</si>
  <si>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</si>
  <si>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</si>
  <si>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</si>
  <si>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</si>
  <si>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</si>
  <si>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</si>
  <si>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</si>
  <si>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</si>
  <si>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</si>
  <si>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</si>
  <si>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</si>
  <si>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</si>
  <si>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</si>
  <si>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</si>
  <si>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</si>
  <si>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</si>
  <si>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</si>
  <si>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</si>
  <si>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</si>
  <si>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</si>
  <si>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</si>
  <si>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</si>
  <si>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</si>
  <si>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</si>
  <si>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</si>
  <si>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</si>
  <si>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</si>
  <si>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</si>
  <si>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</si>
  <si>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</si>
  <si>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</si>
  <si>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</si>
  <si>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</si>
  <si>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</si>
  <si>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</si>
  <si>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</si>
  <si>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</si>
  <si>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</si>
  <si>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</si>
  <si>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</si>
  <si>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</si>
  <si>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</si>
  <si>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</si>
  <si>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</si>
  <si>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</si>
  <si>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</si>
  <si>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</si>
  <si>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</si>
  <si>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</si>
  <si>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</si>
  <si>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</si>
  <si>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</si>
  <si>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</si>
  <si>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</si>
  <si>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</si>
  <si>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</si>
  <si>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</si>
  <si>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</si>
  <si>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</si>
  <si>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</si>
  <si>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</si>
  <si>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</si>
  <si>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</si>
  <si>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</si>
  <si>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</si>
  <si>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</si>
  <si>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</si>
  <si>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</si>
  <si>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</si>
  <si>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</si>
  <si>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</si>
  <si>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</si>
  <si>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</si>
  <si>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</si>
  <si>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</si>
  <si>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</si>
  <si>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</si>
  <si>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</si>
  <si>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</si>
  <si>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</si>
  <si>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</si>
  <si>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</si>
  <si>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</si>
  <si>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</si>
  <si>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</si>
  <si>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</si>
  <si>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</si>
  <si>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</si>
  <si>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</si>
  <si>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</si>
  <si>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</si>
  <si>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</si>
  <si>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</si>
  <si>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</si>
  <si>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</si>
  <si>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</si>
  <si>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</si>
  <si>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</si>
  <si>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</si>
  <si>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</si>
  <si>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</si>
  <si>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</si>
  <si>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</si>
  <si>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</si>
  <si>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</si>
  <si>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</si>
  <si>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</si>
  <si>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</si>
  <si>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</si>
  <si>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</si>
  <si>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</si>
  <si>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</si>
  <si>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</si>
  <si>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</si>
  <si>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</si>
  <si>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</si>
  <si>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</si>
  <si>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</si>
  <si>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</si>
  <si>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</si>
  <si>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</si>
  <si>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</si>
  <si>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</si>
  <si>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</si>
  <si>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</si>
  <si>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</si>
  <si>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</si>
  <si>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</si>
  <si>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</si>
  <si>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</si>
  <si>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</si>
  <si>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</si>
  <si>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</si>
  <si>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</si>
  <si>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</si>
  <si>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</si>
  <si>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</si>
  <si>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</si>
  <si>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</si>
  <si>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</si>
  <si>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</si>
  <si>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</si>
  <si>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</si>
  <si>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</si>
  <si>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</si>
  <si>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</si>
  <si>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</si>
  <si>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</si>
  <si>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</si>
  <si>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</si>
  <si>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</si>
  <si>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</si>
  <si>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</si>
  <si>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</si>
  <si>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</si>
  <si>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</si>
  <si>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</si>
  <si>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</si>
  <si>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</si>
  <si>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</si>
  <si>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</si>
  <si>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</si>
  <si>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</si>
  <si>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</si>
  <si>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</si>
  <si>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</si>
  <si>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</si>
  <si>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</si>
  <si>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</si>
  <si>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</si>
  <si>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</si>
  <si>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</si>
  <si>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</si>
  <si>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</si>
  <si>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</si>
  <si>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</si>
  <si>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</si>
  <si>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</si>
  <si>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</si>
  <si>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</si>
  <si>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</si>
  <si>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</si>
  <si>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</si>
  <si>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</si>
  <si>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</si>
  <si>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</si>
  <si>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</si>
  <si>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</si>
  <si>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</si>
  <si>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</si>
  <si>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</si>
  <si>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</si>
  <si>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</si>
  <si>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</si>
  <si>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</si>
  <si>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</si>
  <si>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</si>
  <si>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</si>
  <si>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</si>
  <si>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</si>
  <si>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</si>
  <si>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</si>
  <si>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</si>
  <si>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</si>
  <si>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</si>
  <si>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</si>
  <si>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</si>
  <si>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</si>
  <si>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</si>
  <si>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</si>
  <si>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</si>
  <si>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</si>
  <si>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</si>
  <si>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</si>
  <si>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</si>
  <si>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</si>
  <si>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</si>
  <si>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</si>
  <si>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</si>
  <si>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</si>
  <si>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</si>
  <si>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</si>
  <si>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</si>
  <si>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</si>
  <si>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</si>
  <si>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</si>
  <si>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</si>
  <si>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</si>
  <si>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</si>
  <si>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</si>
  <si>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</si>
  <si>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</si>
  <si>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</si>
  <si>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</si>
  <si>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</si>
  <si>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</si>
  <si>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</si>
  <si>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</si>
  <si>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</si>
  <si>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</si>
  <si>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</si>
  <si>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</si>
  <si>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</si>
  <si>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</si>
  <si>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</si>
  <si>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</si>
  <si>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</si>
  <si>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</si>
  <si>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</si>
  <si>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</si>
  <si>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</si>
  <si>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</si>
  <si>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</si>
  <si>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</si>
  <si>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</si>
  <si>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</si>
  <si>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</si>
  <si>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</si>
  <si>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</si>
  <si>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</si>
  <si>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</si>
  <si>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</si>
  <si>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</si>
  <si>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</si>
  <si>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</si>
  <si>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</si>
  <si>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</si>
  <si>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</si>
  <si>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</si>
  <si>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</si>
  <si>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</si>
  <si>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</si>
  <si>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</si>
  <si>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</si>
  <si>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</si>
  <si>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</si>
  <si>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</si>
  <si>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</si>
  <si>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</si>
  <si>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</si>
  <si>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</si>
  <si>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</si>
  <si>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</si>
  <si>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</si>
  <si>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</si>
  <si>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</si>
  <si>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</si>
  <si>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</si>
  <si>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</si>
  <si>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</si>
  <si>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</si>
  <si>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</si>
  <si>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</si>
  <si>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</si>
  <si>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</si>
  <si>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</si>
  <si>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</si>
  <si>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</si>
  <si>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</si>
  <si>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</si>
  <si>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</si>
  <si>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</si>
  <si>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</si>
  <si>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</si>
  <si>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</si>
  <si>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</si>
  <si>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</si>
  <si>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</si>
  <si>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</si>
  <si>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</si>
  <si>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</si>
  <si>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</si>
  <si>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</si>
  <si>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</si>
  <si>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</si>
  <si>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</si>
  <si>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</si>
  <si>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</si>
  <si>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</si>
  <si>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</si>
  <si>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</si>
  <si>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</si>
  <si>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</si>
  <si>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</si>
  <si>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</si>
  <si>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</si>
  <si>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</si>
  <si>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</si>
  <si>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</si>
  <si>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</si>
  <si>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</si>
  <si>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</si>
  <si>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</si>
  <si>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</si>
  <si>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</si>
  <si>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</si>
  <si>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</si>
  <si>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</si>
  <si>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</si>
  <si>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</si>
  <si>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</si>
  <si>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</si>
  <si>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</si>
  <si>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</si>
  <si>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</si>
  <si>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</si>
  <si>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</si>
  <si>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</si>
  <si>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</si>
  <si>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</si>
  <si>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</si>
  <si>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</si>
  <si>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</si>
  <si>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</si>
  <si>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</si>
  <si>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</si>
  <si>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</si>
  <si>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</si>
  <si>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</si>
  <si>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</si>
  <si>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</si>
  <si>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</si>
  <si>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</si>
  <si>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</si>
  <si>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</si>
  <si>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</si>
  <si>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</si>
  <si>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</si>
  <si>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</si>
  <si>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</si>
  <si>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</si>
  <si>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</si>
  <si>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</si>
  <si>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</si>
  <si>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</si>
  <si>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</si>
  <si>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</si>
  <si>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</si>
  <si>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</si>
  <si>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</si>
  <si>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</si>
  <si>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</si>
  <si>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</si>
  <si>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</si>
  <si>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</si>
  <si>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</si>
  <si>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</si>
  <si>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</si>
  <si>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</si>
  <si>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</si>
  <si>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</si>
  <si>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</si>
  <si>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</si>
  <si>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</si>
  <si>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</si>
  <si>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</si>
  <si>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</si>
  <si>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</si>
  <si>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</si>
  <si>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</si>
  <si>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</si>
  <si>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</si>
  <si>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</si>
  <si>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</si>
  <si>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</si>
  <si>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</si>
  <si>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</si>
  <si>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</si>
  <si>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</si>
  <si>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</si>
  <si>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</si>
  <si>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</si>
  <si>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</si>
  <si>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</si>
  <si>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</si>
  <si>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</si>
  <si>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</si>
  <si>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</si>
  <si>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</si>
  <si>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</si>
  <si>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</si>
  <si>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</si>
  <si>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</si>
  <si>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</si>
  <si>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</si>
  <si>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</si>
  <si>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</si>
  <si>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</si>
  <si>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</si>
  <si>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</si>
  <si>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</si>
  <si>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</si>
  <si>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</si>
  <si>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</si>
  <si>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</si>
  <si>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</si>
  <si>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</si>
  <si>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</si>
  <si>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</si>
  <si>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</si>
  <si>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</si>
  <si>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</si>
  <si>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</si>
  <si>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</si>
  <si>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</si>
  <si>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</si>
  <si>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</si>
  <si>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</si>
  <si>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</si>
  <si>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</si>
  <si>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</si>
  <si>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</si>
  <si>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</si>
  <si>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</si>
  <si>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</si>
  <si>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</si>
  <si>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</si>
  <si>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</si>
  <si>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</si>
  <si>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</si>
  <si>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</si>
  <si>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</si>
  <si>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</si>
  <si>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</si>
  <si>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</si>
  <si>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</si>
  <si>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</si>
  <si>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</si>
  <si>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</si>
  <si>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</si>
  <si>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</si>
  <si>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</si>
  <si>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</si>
  <si>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</si>
  <si>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</si>
  <si>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</si>
  <si>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</si>
  <si>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</si>
  <si>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</si>
  <si>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</si>
  <si>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</si>
  <si>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</si>
  <si>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</si>
  <si>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</si>
  <si>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</si>
  <si>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</si>
  <si>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</si>
  <si>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</si>
  <si>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</si>
  <si>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</si>
  <si>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</si>
  <si>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</si>
  <si>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</si>
  <si>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</si>
  <si>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</si>
  <si>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</si>
  <si>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</si>
  <si>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</si>
  <si>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</si>
  <si>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</si>
  <si>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</si>
  <si>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</si>
  <si>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</si>
  <si>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</si>
  <si>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</si>
  <si>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</si>
  <si>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</si>
  <si>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</si>
  <si>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</si>
  <si>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</si>
  <si>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</si>
  <si>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</si>
  <si>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</si>
  <si>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</si>
  <si>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</si>
  <si>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</si>
  <si>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</si>
  <si>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</si>
  <si>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</si>
  <si>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</si>
  <si>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</si>
  <si>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</si>
  <si>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</si>
  <si>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</si>
  <si>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</si>
  <si>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</si>
  <si>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</si>
  <si>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</si>
  <si>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</si>
  <si>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</si>
  <si>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</si>
  <si>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</si>
  <si>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</si>
  <si>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</si>
  <si>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</si>
  <si>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</si>
  <si>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</si>
  <si>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</si>
  <si>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</si>
  <si>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</si>
  <si>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</si>
  <si>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</si>
  <si>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</si>
  <si>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</si>
  <si>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</si>
  <si>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</si>
  <si>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</si>
  <si>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</si>
  <si>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</si>
  <si>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</si>
  <si>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</si>
  <si>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</si>
  <si>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</si>
  <si>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</si>
  <si>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</si>
  <si>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</si>
  <si>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</si>
  <si>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</si>
  <si>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</si>
  <si>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</si>
  <si>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</si>
  <si>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</si>
  <si>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</si>
  <si>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</si>
  <si>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</si>
  <si>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</si>
  <si>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</si>
  <si>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</si>
  <si>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</si>
  <si>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</si>
  <si>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</si>
  <si>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</si>
  <si>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</si>
  <si>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</si>
  <si>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</si>
  <si>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</si>
  <si>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</si>
  <si>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</si>
  <si>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</si>
  <si>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</si>
  <si>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</si>
  <si>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</si>
  <si>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</si>
  <si>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</si>
  <si>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</si>
  <si>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</si>
  <si>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</si>
  <si>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</si>
  <si>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</si>
  <si>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</si>
  <si>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</si>
  <si>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</si>
  <si>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</si>
  <si>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</si>
  <si>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</si>
  <si>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</si>
  <si>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</si>
  <si>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</si>
  <si>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</si>
  <si>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</si>
  <si>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</si>
  <si>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</si>
  <si>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</si>
  <si>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</si>
  <si>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</si>
  <si>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</si>
  <si>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</si>
  <si>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</si>
  <si>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</si>
  <si>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</si>
  <si>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</si>
  <si>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</si>
  <si>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</si>
  <si>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</si>
  <si>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</si>
  <si>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</si>
  <si>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</si>
  <si>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</si>
  <si>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</si>
  <si>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</si>
  <si>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</si>
  <si>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</si>
  <si>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</si>
  <si>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</si>
  <si>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</si>
  <si>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</si>
  <si>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</si>
  <si>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</si>
  <si>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</si>
  <si>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</si>
  <si>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</si>
  <si>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</si>
  <si>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</si>
  <si>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</si>
  <si>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</si>
  <si>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</si>
  <si>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</si>
  <si>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</si>
  <si>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</si>
  <si>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</si>
  <si>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</si>
  <si>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</si>
  <si>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</si>
  <si>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</si>
  <si>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</si>
  <si>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</si>
  <si>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</si>
  <si>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</si>
  <si>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</si>
  <si>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</si>
  <si>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</si>
  <si>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</si>
  <si>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</si>
  <si>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</si>
  <si>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</si>
  <si>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</si>
  <si>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</si>
  <si>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</si>
  <si>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</si>
  <si>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</si>
  <si>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</si>
  <si>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</si>
  <si>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</si>
  <si>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</si>
  <si>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</si>
  <si>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</si>
  <si>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</si>
  <si>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</si>
  <si>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</si>
  <si>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</si>
  <si>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</si>
  <si>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</si>
  <si>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</si>
  <si>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</si>
  <si>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</si>
  <si>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</si>
  <si>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</si>
  <si>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</si>
  <si>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</si>
  <si>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</si>
  <si>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</si>
  <si>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</si>
  <si>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</si>
  <si>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</si>
  <si>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</si>
  <si>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</si>
  <si>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</si>
  <si>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</si>
  <si>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</si>
  <si>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</si>
  <si>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</si>
  <si>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</si>
  <si>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</si>
  <si>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</si>
  <si>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</si>
  <si>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</si>
  <si>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</si>
  <si>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</si>
  <si>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</si>
  <si>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</si>
  <si>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</si>
  <si>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</si>
  <si>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</si>
  <si>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</si>
  <si>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</si>
  <si>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</si>
  <si>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</si>
  <si>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</si>
  <si>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</si>
  <si>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</si>
  <si>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</si>
  <si>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</si>
  <si>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</si>
  <si>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</si>
  <si>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</si>
  <si>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</si>
  <si>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</si>
  <si>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</si>
  <si>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</si>
  <si>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</si>
  <si>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</si>
  <si>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</si>
  <si>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</si>
  <si>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</si>
  <si>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</si>
  <si>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</si>
  <si>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</si>
  <si>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</si>
  <si>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</si>
  <si>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</si>
  <si>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</si>
  <si>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</si>
  <si>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</si>
  <si>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</si>
  <si>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</si>
  <si>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</si>
  <si>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</si>
  <si>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</si>
  <si>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</si>
  <si>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</si>
  <si>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</si>
  <si>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</si>
  <si>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</si>
  <si>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</si>
  <si>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</si>
  <si>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</si>
  <si>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</si>
  <si>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</si>
  <si>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</si>
  <si>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</si>
  <si>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</si>
  <si>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</si>
  <si>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</si>
  <si>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</si>
  <si>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</si>
  <si>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</si>
  <si>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</si>
  <si>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</si>
  <si>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</si>
  <si>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</si>
  <si>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</si>
  <si>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</si>
  <si>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</si>
  <si>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</si>
  <si>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</si>
  <si>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</si>
  <si>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</si>
  <si>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</si>
  <si>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</si>
  <si>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</si>
  <si>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</si>
  <si>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</si>
  <si>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</si>
  <si>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</si>
  <si>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</si>
  <si>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</si>
  <si>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</si>
  <si>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</si>
  <si>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</si>
  <si>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</si>
  <si>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</si>
  <si>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</si>
  <si>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</si>
  <si>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</si>
  <si>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1.  Спиди ЕООД</t>
  </si>
  <si>
    <t>Спиди АД</t>
  </si>
  <si>
    <t>консолидиран</t>
  </si>
  <si>
    <t>01.01.2013-30.06.2013г.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</si>
</sst>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topLeftCell="B55" workbookViewId="0">
      <selection activeCell="D78" sqref="D78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872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1482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348</v>
      </c>
      <c r="D13" s="151">
        <v>356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f>6862+19</f>
        <v>6881</v>
      </c>
      <c r="D15" s="151">
        <v>5773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f>1616+9+59</f>
        <v>1684</v>
      </c>
      <c r="D16" s="151">
        <v>1508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1482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f>742+15-7</f>
        <v>750</v>
      </c>
      <c r="D18" s="151">
        <v>614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9663</v>
      </c>
      <c r="D19" s="155">
        <f>SUM(D11:D18)</f>
        <v>8251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348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>
        <v>348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447</v>
      </c>
      <c r="D24" s="151">
        <v>378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348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447</v>
      </c>
      <c r="D27" s="155">
        <f>SUM(D23:D26)</f>
        <v>378</v>
      </c>
      <c r="E27" s="253" t="s">
        <v>83</v>
      </c>
      <c r="F27" s="242" t="s">
        <v>84</v>
      </c>
      <c r="G27" s="154">
        <f>SUM(G28:G30)</f>
        <v>1211</v>
      </c>
      <c r="H27" s="154">
        <f>SUM(H28:H30)</f>
        <v>1079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1211</v>
      </c>
      <c r="H28" s="152">
        <v>1079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f>'справка №2-ОТЧЕТ ЗА ДОХОДИТЕ'!C39</f>
        <v>4321</v>
      </c>
      <c r="H31" s="152">
        <v>7614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5532</v>
      </c>
      <c r="H33" s="154">
        <f>H27+H31+H32</f>
        <v>8693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10427</v>
      </c>
      <c r="H36" s="154">
        <f>H25+H17+H33</f>
        <v>10523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4189</v>
      </c>
      <c r="H44" s="152">
        <v>3439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4189</v>
      </c>
      <c r="H49" s="154">
        <f>SUM(H43:H48)</f>
        <v>3439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f>135+71</f>
        <v>206</v>
      </c>
      <c r="D54" s="151">
        <v>206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10316</v>
      </c>
      <c r="D55" s="155">
        <f>D19+D20+D21+D27+D32+D45+D51+D53+D54</f>
        <v>8835</v>
      </c>
      <c r="E55" s="237" t="s">
        <v>172</v>
      </c>
      <c r="F55" s="261" t="s">
        <v>173</v>
      </c>
      <c r="G55" s="154">
        <f>G49+G51+G52+G53+G54</f>
        <v>4189</v>
      </c>
      <c r="H55" s="154">
        <f>H49+H51+H52+H53+H54</f>
        <v>3439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f>531+94+330</f>
        <v>955</v>
      </c>
      <c r="D58" s="151">
        <v>556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2002</v>
      </c>
      <c r="H59" s="152">
        <v>2409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6284</v>
      </c>
      <c r="H61" s="154">
        <f>SUM(H62:H68)</f>
        <v>5039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599</v>
      </c>
      <c r="H62" s="152">
        <v>91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955</v>
      </c>
      <c r="D64" s="155">
        <f>SUM(D58:D63)</f>
        <v>556</v>
      </c>
      <c r="E64" s="237" t="s">
        <v>200</v>
      </c>
      <c r="F64" s="242" t="s">
        <v>201</v>
      </c>
      <c r="G64" s="152">
        <v>3196</v>
      </c>
      <c r="H64" s="152">
        <v>2258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44</v>
      </c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f>592+1031</f>
        <v>1623</v>
      </c>
      <c r="H66" s="152">
        <v>1602</v>
      </c>
    </row>
    <row r="67" spans="1:18" ht="15">
      <c r="A67" s="235" t="s">
        <v>207</v>
      </c>
      <c r="B67" s="241" t="s">
        <v>208</v>
      </c>
      <c r="C67" s="151">
        <v>3452</v>
      </c>
      <c r="D67" s="151">
        <f>5157</f>
        <v>5157</v>
      </c>
      <c r="E67" s="237" t="s">
        <v>209</v>
      </c>
      <c r="F67" s="242" t="s">
        <v>210</v>
      </c>
      <c r="G67" s="152">
        <f>145+269</f>
        <v>414</v>
      </c>
      <c r="H67" s="152">
        <v>442</v>
      </c>
    </row>
    <row r="68" spans="1:18" ht="15">
      <c r="A68" s="235" t="s">
        <v>211</v>
      </c>
      <c r="B68" s="241" t="s">
        <v>212</v>
      </c>
      <c r="C68" s="151">
        <v>7083</v>
      </c>
      <c r="D68" s="151">
        <f>6465</f>
        <v>6465</v>
      </c>
      <c r="E68" s="237" t="s">
        <v>213</v>
      </c>
      <c r="F68" s="242" t="s">
        <v>214</v>
      </c>
      <c r="G68" s="152">
        <f>236+172</f>
        <v>408</v>
      </c>
      <c r="H68" s="152">
        <v>646</v>
      </c>
    </row>
    <row r="69" spans="1:18" ht="15">
      <c r="A69" s="235" t="s">
        <v>215</v>
      </c>
      <c r="B69" s="241" t="s">
        <v>216</v>
      </c>
      <c r="C69" s="151">
        <v>416</v>
      </c>
      <c r="D69" s="151">
        <v>356</v>
      </c>
      <c r="E69" s="251" t="s">
        <v>78</v>
      </c>
      <c r="F69" s="242" t="s">
        <v>217</v>
      </c>
      <c r="G69" s="152">
        <v>645</v>
      </c>
      <c r="H69" s="152">
        <v>4282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8931</v>
      </c>
      <c r="H71" s="161">
        <f>H59+H60+H61+H69+H70</f>
        <v>11730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22</v>
      </c>
      <c r="D74" s="151">
        <v>38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10973</v>
      </c>
      <c r="D75" s="155">
        <f>SUM(D67:D74)</f>
        <v>12016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8931</v>
      </c>
      <c r="H79" s="162">
        <f>H71+H74+H75+H76</f>
        <v>11730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824</v>
      </c>
      <c r="D87" s="151">
        <v>3956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/>
      <c r="D88" s="151"/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824</v>
      </c>
      <c r="D91" s="155">
        <f>SUM(D87:D90)</f>
        <v>3956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f>437+42</f>
        <v>479</v>
      </c>
      <c r="D92" s="151">
        <v>329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13231</v>
      </c>
      <c r="D93" s="155">
        <f>D64+D75+D84+D91+D92</f>
        <v>16857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23547</v>
      </c>
      <c r="D94" s="164">
        <f>D93+D55</f>
        <v>25692</v>
      </c>
      <c r="E94" s="449" t="s">
        <v>270</v>
      </c>
      <c r="F94" s="289" t="s">
        <v>271</v>
      </c>
      <c r="G94" s="165">
        <f>G36+G39+G55+G79</f>
        <v>23547</v>
      </c>
      <c r="H94" s="165">
        <f>H36+H39+H55+H79</f>
        <v>25692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13" workbookViewId="0">
      <selection activeCell="D18" sqref="D18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01.01.2013-30.06.2013г.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f>4433</f>
        <v>4433</v>
      </c>
      <c r="D9" s="46">
        <f>3666+6</f>
        <v>3672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f>13561+64-5530</f>
        <v>8095</v>
      </c>
      <c r="D10" s="46">
        <f>10462+330-4850</f>
        <v>5942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f>1428+31</f>
        <v>1459</v>
      </c>
      <c r="D11" s="46">
        <f>1204+128</f>
        <v>1332</v>
      </c>
      <c r="E11" s="300" t="s">
        <v>293</v>
      </c>
      <c r="F11" s="549" t="s">
        <v>294</v>
      </c>
      <c r="G11" s="550">
        <f>25166+3710</f>
        <v>28876</v>
      </c>
      <c r="H11" s="550">
        <f>20735+3423</f>
        <v>24158</v>
      </c>
    </row>
    <row r="12" spans="1:18">
      <c r="A12" s="298" t="s">
        <v>295</v>
      </c>
      <c r="B12" s="299" t="s">
        <v>296</v>
      </c>
      <c r="C12" s="46">
        <f>2695+5840</f>
        <v>8535</v>
      </c>
      <c r="D12" s="46">
        <f>1408+3108+494+2726</f>
        <v>7736</v>
      </c>
      <c r="E12" s="300" t="s">
        <v>78</v>
      </c>
      <c r="F12" s="549" t="s">
        <v>297</v>
      </c>
      <c r="G12" s="550">
        <f>925+311</f>
        <v>1236</v>
      </c>
      <c r="H12" s="550">
        <f>975+36</f>
        <v>1011</v>
      </c>
    </row>
    <row r="13" spans="1:18">
      <c r="A13" s="298" t="s">
        <v>298</v>
      </c>
      <c r="B13" s="299" t="s">
        <v>299</v>
      </c>
      <c r="C13" s="46">
        <f>437+1155</f>
        <v>1592</v>
      </c>
      <c r="D13" s="46">
        <f>261+852+12+172</f>
        <v>1297</v>
      </c>
      <c r="E13" s="301" t="s">
        <v>51</v>
      </c>
      <c r="F13" s="551" t="s">
        <v>300</v>
      </c>
      <c r="G13" s="548">
        <f>SUM(G9:G12)</f>
        <v>30112</v>
      </c>
      <c r="H13" s="548">
        <f>SUM(H9:H12)</f>
        <v>25169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f>705+2</f>
        <v>707</v>
      </c>
      <c r="D14" s="46">
        <f>743+1</f>
        <v>744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>
        <v>31</v>
      </c>
    </row>
    <row r="16" spans="1:18">
      <c r="A16" s="298" t="s">
        <v>307</v>
      </c>
      <c r="B16" s="299" t="s">
        <v>308</v>
      </c>
      <c r="C16" s="47">
        <f>481</f>
        <v>481</v>
      </c>
      <c r="D16" s="47">
        <f>413+3</f>
        <v>416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25302</v>
      </c>
      <c r="D19" s="49">
        <f>SUM(D9:D15)+D16</f>
        <v>21139</v>
      </c>
      <c r="E19" s="304" t="s">
        <v>317</v>
      </c>
      <c r="F19" s="552" t="s">
        <v>318</v>
      </c>
      <c r="G19" s="550">
        <v>220</v>
      </c>
      <c r="H19" s="550">
        <v>271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f>157+1</f>
        <v>158</v>
      </c>
      <c r="D22" s="46">
        <f>148+7</f>
        <v>155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f>2</f>
        <v>2</v>
      </c>
      <c r="D24" s="46">
        <v>1</v>
      </c>
      <c r="E24" s="301" t="s">
        <v>103</v>
      </c>
      <c r="F24" s="554" t="s">
        <v>334</v>
      </c>
      <c r="G24" s="548">
        <f>SUM(G19:G23)</f>
        <v>220</v>
      </c>
      <c r="H24" s="548">
        <f>SUM(H19:H23)</f>
        <v>271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f>45+19+5</f>
        <v>69</v>
      </c>
      <c r="D25" s="46">
        <f>40+1+6</f>
        <v>47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229</v>
      </c>
      <c r="D26" s="49">
        <f>SUM(D22:D25)</f>
        <v>203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25531</v>
      </c>
      <c r="D28" s="50">
        <f>D26+D19</f>
        <v>21342</v>
      </c>
      <c r="E28" s="127" t="s">
        <v>339</v>
      </c>
      <c r="F28" s="554" t="s">
        <v>340</v>
      </c>
      <c r="G28" s="548">
        <f>G13+G15+G24</f>
        <v>30332</v>
      </c>
      <c r="H28" s="548">
        <f>H13+H15+H24</f>
        <v>25471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4801</v>
      </c>
      <c r="D30" s="50">
        <f>IF((H28-D28)&gt;0,H28-D28,0)</f>
        <v>4129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25531</v>
      </c>
      <c r="D33" s="49">
        <f>D28-D31+D32</f>
        <v>21342</v>
      </c>
      <c r="E33" s="127" t="s">
        <v>353</v>
      </c>
      <c r="F33" s="554" t="s">
        <v>354</v>
      </c>
      <c r="G33" s="53">
        <f>G32-G31+G28</f>
        <v>30332</v>
      </c>
      <c r="H33" s="53">
        <f>H32-H31+H28</f>
        <v>25471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4801</v>
      </c>
      <c r="D34" s="50">
        <f>IF((H33-D33)&gt;0,H33-D33,0)</f>
        <v>4129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480</v>
      </c>
      <c r="D35" s="49">
        <f>D36+D37+D38</f>
        <v>413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480</v>
      </c>
      <c r="D36" s="46">
        <v>413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4321</v>
      </c>
      <c r="D39" s="460">
        <f>+IF((H33-D33-D35)&gt;0,H33-D33-D35,0)</f>
        <v>3716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4321</v>
      </c>
      <c r="D41" s="52">
        <f>IF(H39=0,IF(D39-D40&gt;0,D39-D40+H40,0),IF(H39-H40&lt;0,H40-H39+D39,0))</f>
        <v>3716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30332</v>
      </c>
      <c r="D42" s="53">
        <f>D33+D35+D39</f>
        <v>25471</v>
      </c>
      <c r="E42" s="128" t="s">
        <v>380</v>
      </c>
      <c r="F42" s="129" t="s">
        <v>381</v>
      </c>
      <c r="G42" s="53">
        <f>G39+G33</f>
        <v>30332</v>
      </c>
      <c r="H42" s="53">
        <f>H39+H33</f>
        <v>25471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8" workbookViewId="0">
      <selection activeCell="D11" sqref="D11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01.01.2013-30.06.2013г.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f>35952+71+449+9322</f>
        <v>45794</v>
      </c>
      <c r="D10" s="54">
        <f>29136+8772</f>
        <v>37908</v>
      </c>
      <c r="E10" s="130"/>
      <c r="F10" s="130"/>
    </row>
    <row r="11" spans="1:13">
      <c r="A11" s="332" t="s">
        <v>390</v>
      </c>
      <c r="B11" s="333" t="s">
        <v>391</v>
      </c>
      <c r="C11" s="54">
        <f>-25863-852</f>
        <v>-26715</v>
      </c>
      <c r="D11" s="54">
        <f>-22561-810</f>
        <v>-23371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f>-2287-591-4919-1404</f>
        <v>-9201</v>
      </c>
      <c r="D13" s="54">
        <f>-1414-2621</f>
        <v>-4035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f>-1606-1999</f>
        <v>-3605</v>
      </c>
      <c r="D14" s="54">
        <f>-1402-1492-910</f>
        <v>-3804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f>-582-15</f>
        <v>-597</v>
      </c>
      <c r="D15" s="54">
        <v>-657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/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5676</v>
      </c>
      <c r="D20" s="55">
        <f>SUM(D10:D19)</f>
        <v>6041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f>-312-128</f>
        <v>-440</v>
      </c>
      <c r="D22" s="54">
        <f>-825-182</f>
        <v>-1007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f>236+308</f>
        <v>544</v>
      </c>
      <c r="D23" s="54">
        <f>220+19</f>
        <v>239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104</v>
      </c>
      <c r="D32" s="55">
        <f>SUM(D22:D31)</f>
        <v>-768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f>600+588+110+58+885</f>
        <v>2241</v>
      </c>
      <c r="D36" s="54">
        <f>990+80</f>
        <v>1070</v>
      </c>
      <c r="E36" s="130"/>
      <c r="F36" s="130"/>
    </row>
    <row r="37" spans="1:8">
      <c r="A37" s="332" t="s">
        <v>439</v>
      </c>
      <c r="B37" s="333" t="s">
        <v>440</v>
      </c>
      <c r="C37" s="54">
        <f>-606-632</f>
        <v>-1238</v>
      </c>
      <c r="D37" s="54">
        <f>-2434-126</f>
        <v>-2560</v>
      </c>
      <c r="E37" s="130"/>
      <c r="F37" s="130"/>
    </row>
    <row r="38" spans="1:8">
      <c r="A38" s="332" t="s">
        <v>441</v>
      </c>
      <c r="B38" s="333" t="s">
        <v>442</v>
      </c>
      <c r="C38" s="54">
        <f>-173-1944-13</f>
        <v>-2130</v>
      </c>
      <c r="D38" s="54">
        <f>-1771-140</f>
        <v>-1911</v>
      </c>
      <c r="E38" s="130"/>
      <c r="F38" s="130"/>
    </row>
    <row r="39" spans="1:8">
      <c r="A39" s="332" t="s">
        <v>443</v>
      </c>
      <c r="B39" s="333" t="s">
        <v>444</v>
      </c>
      <c r="C39" s="54">
        <f>-152-48</f>
        <v>-200</v>
      </c>
      <c r="D39" s="54">
        <f>-116-10</f>
        <v>-126</v>
      </c>
      <c r="E39" s="130"/>
      <c r="F39" s="130"/>
    </row>
    <row r="40" spans="1:8">
      <c r="A40" s="332" t="s">
        <v>445</v>
      </c>
      <c r="B40" s="333" t="s">
        <v>446</v>
      </c>
      <c r="C40" s="54">
        <v>-4414</v>
      </c>
      <c r="D40" s="54"/>
      <c r="E40" s="130"/>
      <c r="F40" s="130"/>
    </row>
    <row r="41" spans="1:8">
      <c r="A41" s="332" t="s">
        <v>447</v>
      </c>
      <c r="B41" s="333" t="s">
        <v>448</v>
      </c>
      <c r="C41" s="54">
        <f>153471-156642</f>
        <v>-3171</v>
      </c>
      <c r="D41" s="54">
        <f>129816-129818</f>
        <v>-2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-8912</v>
      </c>
      <c r="D42" s="55">
        <f>SUM(D34:D41)</f>
        <v>-3529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-3132</v>
      </c>
      <c r="D43" s="55">
        <f>D42+D32+D20</f>
        <v>1744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3956</v>
      </c>
      <c r="D44" s="132">
        <v>2164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824</v>
      </c>
      <c r="D45" s="55">
        <f>D44+D43</f>
        <v>3908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824</v>
      </c>
      <c r="D46" s="56">
        <v>3908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I20" sqref="I20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01.01.2013-30.06.2013г.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1482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348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8693</v>
      </c>
      <c r="J11" s="58">
        <f>'справка №1-БАЛАНС'!H29+'справка №1-БАЛАНС'!H32</f>
        <v>0</v>
      </c>
      <c r="K11" s="60"/>
      <c r="L11" s="344">
        <f>SUM(C11:K11)</f>
        <v>10523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1482</v>
      </c>
      <c r="D15" s="61">
        <f t="shared" ref="D15:M15" si="2">D11+D12</f>
        <v>0</v>
      </c>
      <c r="E15" s="61">
        <f t="shared" si="2"/>
        <v>0</v>
      </c>
      <c r="F15" s="61">
        <f t="shared" si="2"/>
        <v>348</v>
      </c>
      <c r="G15" s="61">
        <f t="shared" si="2"/>
        <v>0</v>
      </c>
      <c r="H15" s="61">
        <f t="shared" si="2"/>
        <v>0</v>
      </c>
      <c r="I15" s="61">
        <f t="shared" si="2"/>
        <v>8693</v>
      </c>
      <c r="J15" s="61">
        <f t="shared" si="2"/>
        <v>0</v>
      </c>
      <c r="K15" s="61">
        <f t="shared" si="2"/>
        <v>0</v>
      </c>
      <c r="L15" s="344">
        <f t="shared" si="1"/>
        <v>10523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4321</v>
      </c>
      <c r="J16" s="345">
        <f>+'справка №1-БАЛАНС'!G32</f>
        <v>0</v>
      </c>
      <c r="K16" s="60"/>
      <c r="L16" s="344">
        <f t="shared" si="1"/>
        <v>4321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100</v>
      </c>
      <c r="G17" s="62">
        <f t="shared" si="3"/>
        <v>0</v>
      </c>
      <c r="H17" s="62">
        <f t="shared" si="3"/>
        <v>0</v>
      </c>
      <c r="I17" s="62">
        <f t="shared" si="3"/>
        <v>-7482</v>
      </c>
      <c r="J17" s="62">
        <f>J18+J19</f>
        <v>0</v>
      </c>
      <c r="K17" s="62">
        <f t="shared" si="3"/>
        <v>0</v>
      </c>
      <c r="L17" s="344">
        <f t="shared" si="1"/>
        <v>-7382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-4417</v>
      </c>
      <c r="J18" s="60"/>
      <c r="K18" s="60"/>
      <c r="L18" s="344">
        <f t="shared" si="1"/>
        <v>-4417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>
        <v>100</v>
      </c>
      <c r="G19" s="60"/>
      <c r="H19" s="60"/>
      <c r="I19" s="60">
        <v>-3065</v>
      </c>
      <c r="J19" s="60"/>
      <c r="K19" s="60"/>
      <c r="L19" s="344">
        <f t="shared" si="1"/>
        <v>-2965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>
        <v>2965</v>
      </c>
      <c r="D28" s="60"/>
      <c r="E28" s="60"/>
      <c r="F28" s="60"/>
      <c r="G28" s="60"/>
      <c r="H28" s="60"/>
      <c r="I28" s="60"/>
      <c r="J28" s="60"/>
      <c r="K28" s="60"/>
      <c r="L28" s="344">
        <f t="shared" si="1"/>
        <v>2965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448</v>
      </c>
      <c r="G29" s="59">
        <f t="shared" si="6"/>
        <v>0</v>
      </c>
      <c r="H29" s="59">
        <f t="shared" si="6"/>
        <v>0</v>
      </c>
      <c r="I29" s="59">
        <f t="shared" si="6"/>
        <v>5532</v>
      </c>
      <c r="J29" s="59">
        <f t="shared" si="6"/>
        <v>0</v>
      </c>
      <c r="K29" s="59">
        <f t="shared" si="6"/>
        <v>0</v>
      </c>
      <c r="L29" s="344">
        <f t="shared" si="1"/>
        <v>10427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448</v>
      </c>
      <c r="G32" s="59">
        <f t="shared" si="7"/>
        <v>0</v>
      </c>
      <c r="H32" s="59">
        <f t="shared" si="7"/>
        <v>0</v>
      </c>
      <c r="I32" s="59">
        <f t="shared" si="7"/>
        <v>5532</v>
      </c>
      <c r="J32" s="59">
        <f t="shared" si="7"/>
        <v>0</v>
      </c>
      <c r="K32" s="59">
        <f t="shared" si="7"/>
        <v>0</v>
      </c>
      <c r="L32" s="344">
        <f t="shared" si="1"/>
        <v>10427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6" workbookViewId="0">
      <selection activeCell="K15" sqref="K1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01.01.2013-30.06.2013г.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f>1345+552</f>
        <v>1897</v>
      </c>
      <c r="E11" s="189">
        <v>72</v>
      </c>
      <c r="F11" s="189"/>
      <c r="G11" s="74">
        <f t="shared" si="2"/>
        <v>1969</v>
      </c>
      <c r="H11" s="65"/>
      <c r="I11" s="65"/>
      <c r="J11" s="74">
        <f t="shared" si="3"/>
        <v>1969</v>
      </c>
      <c r="K11" s="65">
        <f>989+552</f>
        <v>1541</v>
      </c>
      <c r="L11" s="65">
        <v>80</v>
      </c>
      <c r="M11" s="65"/>
      <c r="N11" s="74">
        <f t="shared" si="4"/>
        <v>1621</v>
      </c>
      <c r="O11" s="65"/>
      <c r="P11" s="65"/>
      <c r="Q11" s="74">
        <f t="shared" si="0"/>
        <v>1621</v>
      </c>
      <c r="R11" s="74">
        <f t="shared" si="1"/>
        <v>348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f>15566+3411</f>
        <v>18977</v>
      </c>
      <c r="E13" s="189">
        <f>1948</f>
        <v>1948</v>
      </c>
      <c r="F13" s="189">
        <f>234+128</f>
        <v>362</v>
      </c>
      <c r="G13" s="74">
        <f t="shared" si="2"/>
        <v>20563</v>
      </c>
      <c r="H13" s="65"/>
      <c r="I13" s="65"/>
      <c r="J13" s="74">
        <f t="shared" si="3"/>
        <v>20563</v>
      </c>
      <c r="K13" s="65">
        <f>9780+3374</f>
        <v>13154</v>
      </c>
      <c r="L13" s="65">
        <f>852+16</f>
        <v>868</v>
      </c>
      <c r="M13" s="65">
        <f>213+126</f>
        <v>339</v>
      </c>
      <c r="N13" s="74">
        <f t="shared" si="4"/>
        <v>13683</v>
      </c>
      <c r="O13" s="65"/>
      <c r="P13" s="65"/>
      <c r="Q13" s="74">
        <f t="shared" si="0"/>
        <v>13683</v>
      </c>
      <c r="R13" s="74">
        <f t="shared" si="1"/>
        <v>6880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>
        <f>2047+167+215</f>
        <v>2429</v>
      </c>
      <c r="E14" s="189">
        <v>409</v>
      </c>
      <c r="F14" s="189"/>
      <c r="G14" s="74">
        <f t="shared" si="2"/>
        <v>2838</v>
      </c>
      <c r="H14" s="65"/>
      <c r="I14" s="65"/>
      <c r="J14" s="74">
        <f t="shared" si="3"/>
        <v>2838</v>
      </c>
      <c r="K14" s="65">
        <f>676+145+150</f>
        <v>971</v>
      </c>
      <c r="L14" s="65">
        <f>163+14</f>
        <v>177</v>
      </c>
      <c r="M14" s="65"/>
      <c r="N14" s="74">
        <f t="shared" si="4"/>
        <v>1148</v>
      </c>
      <c r="O14" s="65"/>
      <c r="P14" s="65"/>
      <c r="Q14" s="74">
        <f t="shared" si="0"/>
        <v>1148</v>
      </c>
      <c r="R14" s="74">
        <f t="shared" si="1"/>
        <v>1690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f>2934+455</f>
        <v>3389</v>
      </c>
      <c r="E16" s="189">
        <v>282</v>
      </c>
      <c r="F16" s="189">
        <v>2</v>
      </c>
      <c r="G16" s="74">
        <f t="shared" si="2"/>
        <v>3669</v>
      </c>
      <c r="H16" s="65"/>
      <c r="I16" s="65"/>
      <c r="J16" s="74">
        <f t="shared" si="3"/>
        <v>3669</v>
      </c>
      <c r="K16" s="65">
        <f>2323+452</f>
        <v>2775</v>
      </c>
      <c r="L16" s="65">
        <v>149</v>
      </c>
      <c r="M16" s="65"/>
      <c r="N16" s="74">
        <f t="shared" si="4"/>
        <v>2924</v>
      </c>
      <c r="O16" s="65"/>
      <c r="P16" s="65"/>
      <c r="Q16" s="74">
        <f t="shared" ref="Q16:Q25" si="5">N16+O16-P16</f>
        <v>2924</v>
      </c>
      <c r="R16" s="74">
        <f t="shared" ref="R16:R25" si="6">J16-Q16</f>
        <v>745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26692</v>
      </c>
      <c r="E17" s="194">
        <f>SUM(E9:E16)</f>
        <v>2711</v>
      </c>
      <c r="F17" s="194">
        <f>SUM(F9:F16)</f>
        <v>364</v>
      </c>
      <c r="G17" s="74">
        <f t="shared" si="2"/>
        <v>29039</v>
      </c>
      <c r="H17" s="75">
        <f>SUM(H9:H16)</f>
        <v>0</v>
      </c>
      <c r="I17" s="75">
        <f>SUM(I9:I16)</f>
        <v>0</v>
      </c>
      <c r="J17" s="74">
        <f t="shared" si="3"/>
        <v>29039</v>
      </c>
      <c r="K17" s="75">
        <f>SUM(K9:K16)</f>
        <v>18441</v>
      </c>
      <c r="L17" s="75">
        <f>SUM(L9:L16)</f>
        <v>1274</v>
      </c>
      <c r="M17" s="75">
        <f>SUM(M9:M16)</f>
        <v>339</v>
      </c>
      <c r="N17" s="74">
        <f t="shared" si="4"/>
        <v>19376</v>
      </c>
      <c r="O17" s="75">
        <f>SUM(O9:O16)</f>
        <v>0</v>
      </c>
      <c r="P17" s="75">
        <f>SUM(P9:P16)</f>
        <v>0</v>
      </c>
      <c r="Q17" s="74">
        <f t="shared" si="5"/>
        <v>19376</v>
      </c>
      <c r="R17" s="74">
        <f t="shared" si="6"/>
        <v>9663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f>1730+267</f>
        <v>1997</v>
      </c>
      <c r="E22" s="189">
        <v>252</v>
      </c>
      <c r="F22" s="189"/>
      <c r="G22" s="74">
        <f t="shared" si="2"/>
        <v>2249</v>
      </c>
      <c r="H22" s="65"/>
      <c r="I22" s="65"/>
      <c r="J22" s="74">
        <f t="shared" si="3"/>
        <v>2249</v>
      </c>
      <c r="K22" s="65">
        <f>1352+267</f>
        <v>1619</v>
      </c>
      <c r="L22" s="65">
        <f>183</f>
        <v>183</v>
      </c>
      <c r="M22" s="65"/>
      <c r="N22" s="74">
        <f t="shared" si="4"/>
        <v>1802</v>
      </c>
      <c r="O22" s="65"/>
      <c r="P22" s="65"/>
      <c r="Q22" s="74">
        <f t="shared" si="5"/>
        <v>1802</v>
      </c>
      <c r="R22" s="74">
        <f t="shared" si="6"/>
        <v>447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1997</v>
      </c>
      <c r="E25" s="190">
        <f t="shared" ref="E25:P25" si="7">SUM(E21:E24)</f>
        <v>252</v>
      </c>
      <c r="F25" s="190">
        <f t="shared" si="7"/>
        <v>0</v>
      </c>
      <c r="G25" s="67">
        <f t="shared" si="2"/>
        <v>2249</v>
      </c>
      <c r="H25" s="66">
        <f t="shared" si="7"/>
        <v>0</v>
      </c>
      <c r="I25" s="66">
        <f t="shared" si="7"/>
        <v>0</v>
      </c>
      <c r="J25" s="67">
        <f t="shared" si="3"/>
        <v>2249</v>
      </c>
      <c r="K25" s="66">
        <f t="shared" si="7"/>
        <v>1619</v>
      </c>
      <c r="L25" s="66">
        <f t="shared" si="7"/>
        <v>183</v>
      </c>
      <c r="M25" s="66">
        <f t="shared" si="7"/>
        <v>0</v>
      </c>
      <c r="N25" s="67">
        <f t="shared" si="4"/>
        <v>1802</v>
      </c>
      <c r="O25" s="66">
        <f t="shared" si="7"/>
        <v>0</v>
      </c>
      <c r="P25" s="66">
        <f t="shared" si="7"/>
        <v>0</v>
      </c>
      <c r="Q25" s="67">
        <f t="shared" si="5"/>
        <v>1802</v>
      </c>
      <c r="R25" s="67">
        <f t="shared" si="6"/>
        <v>447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28689</v>
      </c>
      <c r="E40" s="438">
        <f>E17+E18+E19+E25+E38+E39</f>
        <v>2963</v>
      </c>
      <c r="F40" s="438">
        <f t="shared" ref="F40:R40" si="13">F17+F18+F19+F25+F38+F39</f>
        <v>364</v>
      </c>
      <c r="G40" s="438">
        <f t="shared" si="13"/>
        <v>31288</v>
      </c>
      <c r="H40" s="438">
        <f t="shared" si="13"/>
        <v>0</v>
      </c>
      <c r="I40" s="438">
        <f t="shared" si="13"/>
        <v>0</v>
      </c>
      <c r="J40" s="438">
        <f t="shared" si="13"/>
        <v>31288</v>
      </c>
      <c r="K40" s="438">
        <f t="shared" si="13"/>
        <v>20060</v>
      </c>
      <c r="L40" s="438">
        <f t="shared" si="13"/>
        <v>1457</v>
      </c>
      <c r="M40" s="438">
        <f t="shared" si="13"/>
        <v>339</v>
      </c>
      <c r="N40" s="438">
        <f t="shared" si="13"/>
        <v>21178</v>
      </c>
      <c r="O40" s="438">
        <f t="shared" si="13"/>
        <v>0</v>
      </c>
      <c r="P40" s="438">
        <f t="shared" si="13"/>
        <v>0</v>
      </c>
      <c r="Q40" s="438">
        <f t="shared" si="13"/>
        <v>21178</v>
      </c>
      <c r="R40" s="438">
        <f t="shared" si="13"/>
        <v>10110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activeCell="AA12" sqref="AA12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01.01.2013-30.06.2013г.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206</v>
      </c>
      <c r="D21" s="108">
        <v>206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3452</v>
      </c>
      <c r="D24" s="119">
        <f>SUM(D25:D27)</f>
        <v>3452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2652</v>
      </c>
      <c r="D25" s="108">
        <v>2652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800</v>
      </c>
      <c r="D26" s="108">
        <v>800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7083</v>
      </c>
      <c r="D28" s="108">
        <v>7083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416</v>
      </c>
      <c r="D29" s="108">
        <v>416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22</v>
      </c>
      <c r="D38" s="105">
        <f>SUM(D39:D42)</f>
        <v>22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22</v>
      </c>
      <c r="D42" s="108">
        <v>22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10973</v>
      </c>
      <c r="D43" s="104">
        <f>D24+D28+D29+D31+D30+D32+D33+D38</f>
        <v>10973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11179</v>
      </c>
      <c r="D44" s="103">
        <f>D43+D21+D19+D9</f>
        <v>11179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4189</v>
      </c>
      <c r="D64" s="108"/>
      <c r="E64" s="119">
        <f t="shared" si="1"/>
        <v>4189</v>
      </c>
      <c r="F64" s="110"/>
    </row>
    <row r="65" spans="1:16">
      <c r="A65" s="396" t="s">
        <v>712</v>
      </c>
      <c r="B65" s="397" t="s">
        <v>713</v>
      </c>
      <c r="C65" s="109">
        <v>4189</v>
      </c>
      <c r="D65" s="109"/>
      <c r="E65" s="119">
        <f t="shared" si="1"/>
        <v>4189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4189</v>
      </c>
      <c r="D66" s="103">
        <f>D52+D56+D61+D62+D63+D64</f>
        <v>0</v>
      </c>
      <c r="E66" s="119">
        <f t="shared" si="1"/>
        <v>4189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/>
      <c r="D74" s="108"/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2002</v>
      </c>
      <c r="D75" s="103">
        <f>D76+D78</f>
        <v>2002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2002</v>
      </c>
      <c r="D78" s="108">
        <v>2002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6284</v>
      </c>
      <c r="D85" s="104">
        <f>SUM(D86:D90)+D94</f>
        <v>6284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3795</v>
      </c>
      <c r="D87" s="108">
        <v>3795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>
        <v>44</v>
      </c>
      <c r="D88" s="108">
        <v>44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1623</v>
      </c>
      <c r="D89" s="108">
        <v>1623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408</v>
      </c>
      <c r="D90" s="103">
        <f>SUM(D91:D93)</f>
        <v>408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f>192+120</f>
        <v>312</v>
      </c>
      <c r="D92" s="108">
        <v>312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96</v>
      </c>
      <c r="D93" s="108">
        <v>96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414</v>
      </c>
      <c r="D94" s="108">
        <v>414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645</v>
      </c>
      <c r="D95" s="108">
        <v>645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8931</v>
      </c>
      <c r="D96" s="104">
        <f>D85+D80+D75+D71+D95</f>
        <v>8931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13120</v>
      </c>
      <c r="D97" s="104">
        <f>D96+D68+D66</f>
        <v>8931</v>
      </c>
      <c r="E97" s="104">
        <f>E96+E68+E66</f>
        <v>4189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01.01.2013-30.06.2013г.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4" sqref="A4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01.01.2013-30.06.2013г.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870</v>
      </c>
      <c r="B12" s="37"/>
      <c r="C12" s="441">
        <v>982200</v>
      </c>
      <c r="D12" s="441">
        <v>100</v>
      </c>
      <c r="E12" s="441"/>
      <c r="F12" s="443">
        <f>C12-E12</f>
        <v>982200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982200</v>
      </c>
      <c r="D27" s="429"/>
      <c r="E27" s="429">
        <f>SUM(E12:E26)</f>
        <v>0</v>
      </c>
      <c r="F27" s="442">
        <f>SUM(F12:F26)</f>
        <v>982200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982200</v>
      </c>
      <c r="D79" s="429"/>
      <c r="E79" s="429">
        <f>E78+E61+E44+E27</f>
        <v>0</v>
      </c>
      <c r="F79" s="442">
        <f>F78+F61+F44+F27</f>
        <v>982200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Камелия Йорданова</cp:lastModifiedBy>
  <cp:lastPrinted>2013-04-24T12:36:52Z</cp:lastPrinted>
  <dcterms:created xsi:type="dcterms:W3CDTF">2000-06-29T12:02:40Z</dcterms:created>
  <dcterms:modified xsi:type="dcterms:W3CDTF">2013-07-28T20:37:20Z</dcterms:modified>
</cp:coreProperties>
</file>